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15192" windowHeight="8448" activeTab="0"/>
  </bookViews>
  <sheets>
    <sheet name="Excel-Sheet EWS (2010)" sheetId="1" r:id="rId1"/>
  </sheets>
  <definedNames>
    <definedName name="_xlnm.Print_Area" localSheetId="0">'Excel-Sheet EWS (2010)'!$A$2:$H$85</definedName>
  </definedNames>
  <calcPr fullCalcOnLoad="1"/>
</workbook>
</file>

<file path=xl/sharedStrings.xml><?xml version="1.0" encoding="utf-8"?>
<sst xmlns="http://schemas.openxmlformats.org/spreadsheetml/2006/main" count="150" uniqueCount="123">
  <si>
    <t>Einheit</t>
  </si>
  <si>
    <t>Wert</t>
  </si>
  <si>
    <t>Bezeichnung</t>
  </si>
  <si>
    <t>Wärmeleitfähigkeit</t>
  </si>
  <si>
    <t>[W/m.K]</t>
  </si>
  <si>
    <t>[h]</t>
  </si>
  <si>
    <t>[kW]</t>
  </si>
  <si>
    <t>[W/Bohrmeter]</t>
  </si>
  <si>
    <t>Anzahl der EWS</t>
  </si>
  <si>
    <t>Sondenabstand</t>
  </si>
  <si>
    <t>[Stk.]</t>
  </si>
  <si>
    <t>[m]</t>
  </si>
  <si>
    <t>[-]</t>
  </si>
  <si>
    <t>spez. Entzugsleistung</t>
  </si>
  <si>
    <t>L EWS 1 [m]</t>
  </si>
  <si>
    <t>L EWS 2 [m]</t>
  </si>
  <si>
    <t>L EWS 3 [m]</t>
  </si>
  <si>
    <t>L EWS 4 [m]</t>
  </si>
  <si>
    <t>[kWh/Jahr]</t>
  </si>
  <si>
    <t>Jahresbetriebsstunden Heizen</t>
  </si>
  <si>
    <t>[h/Jahr]</t>
  </si>
  <si>
    <t>[kWh/(E*d)]</t>
  </si>
  <si>
    <t>[E]</t>
  </si>
  <si>
    <t>Energiebedarf Heizen und Warmwasserbereitung</t>
  </si>
  <si>
    <t>Bemessung der Wärmepumpe</t>
  </si>
  <si>
    <t>Zuschlag für Sperrzeit des EVU</t>
  </si>
  <si>
    <t>Sperrzeit des EVU</t>
  </si>
  <si>
    <t>[kW/E]</t>
  </si>
  <si>
    <t>Leistung Warmwasserbereitung mit WP</t>
  </si>
  <si>
    <t xml:space="preserve"> </t>
  </si>
  <si>
    <t>erforderl. Leistung WP</t>
  </si>
  <si>
    <t>gewählte Heizleistung bei B0/W35</t>
  </si>
  <si>
    <t>elektr. Leistungsaufnahme bei B0/W35</t>
  </si>
  <si>
    <t>beheizte Wohnfläche</t>
  </si>
  <si>
    <t>[m²]</t>
  </si>
  <si>
    <t>[W/m²]</t>
  </si>
  <si>
    <t>Energiekennzahl</t>
  </si>
  <si>
    <t>erforderl. Jahreskühlarbeit</t>
  </si>
  <si>
    <t>Höhe über Meer</t>
  </si>
  <si>
    <t>[müA.]</t>
  </si>
  <si>
    <t>[°C]</t>
  </si>
  <si>
    <t>Temperaturgradient</t>
  </si>
  <si>
    <t>[K/m]</t>
  </si>
  <si>
    <t>mittl. Auslegetemperatur EWS</t>
  </si>
  <si>
    <t>Bemerkung</t>
  </si>
  <si>
    <t>Bodentemperaturdifferenz</t>
  </si>
  <si>
    <t>[K]</t>
  </si>
  <si>
    <t>Durchfluss bei Differenz von 3 K</t>
  </si>
  <si>
    <t>[l/h]</t>
  </si>
  <si>
    <t>Dichte Frostschutz</t>
  </si>
  <si>
    <t>[kg/m³]</t>
  </si>
  <si>
    <t>[kJ/kg.K]</t>
  </si>
  <si>
    <t xml:space="preserve">spez. Energiebedarf Warmwasserbereitung </t>
  </si>
  <si>
    <t>davon mit WP</t>
  </si>
  <si>
    <t>davon elektrisch, mit Solaranlage, etc.</t>
  </si>
  <si>
    <t>mind. 0,25 kW/E</t>
  </si>
  <si>
    <t xml:space="preserve">Energiebedarf Warmwasserbereitung mit WP </t>
  </si>
  <si>
    <t>spez.Leistung Warmwasserbereitung mit WP</t>
  </si>
  <si>
    <t>erforderl. Jahresheizwärmebedarf</t>
  </si>
  <si>
    <t>Einwohner</t>
  </si>
  <si>
    <t>spezifische Heizleistung</t>
  </si>
  <si>
    <t>erforderliche Heizleistung</t>
  </si>
  <si>
    <t>[kWh/(m²*Jahr)]</t>
  </si>
  <si>
    <t xml:space="preserve">Korrekturfaktor (Zuschlag) für Simplex-EWS </t>
  </si>
  <si>
    <t xml:space="preserve">Korrekturfaktor (Zuschlag) Jahresbetriebsstunden, Sondenabstand </t>
  </si>
  <si>
    <t>Bemessung der Erdwärmesonden</t>
  </si>
  <si>
    <t>Sondenrohre</t>
  </si>
  <si>
    <t>Duplex 32</t>
  </si>
  <si>
    <t>[kWh/kg*K]</t>
  </si>
  <si>
    <t>[kWh/(m*Jahr)]</t>
  </si>
  <si>
    <t>40 m Moräne, 100 m Molasse</t>
  </si>
  <si>
    <t>Eingabefeld</t>
  </si>
  <si>
    <t xml:space="preserve">80 - 100 kWh/(m*Jahr)  </t>
  </si>
  <si>
    <t>Entzugsleistung aus EWS bei B0/W35</t>
  </si>
  <si>
    <t>aus SIA 384/6, Fig.9</t>
  </si>
  <si>
    <t>aus SIA 384/6, Fig. 11 bis 19</t>
  </si>
  <si>
    <t>Autoberechnung</t>
  </si>
  <si>
    <t>gew. Heizleistung bei B0/W50 (Warmwasser)</t>
  </si>
  <si>
    <t>Warmwasserbereitung: siehe ÖWAV-Regelblatt 207, Pkt. 5.2.3</t>
  </si>
  <si>
    <t>Gebäudedaten Heizen: siehe ÖWAV-Regelblatt 207, Pkt. 5.2.1</t>
  </si>
  <si>
    <t>Gebäudedaten Kühlen: siehe ÖWAV-Regelblatt 207, Pkt. 5.2.2</t>
  </si>
  <si>
    <t>Sperrzeit: siehe ÖWAV-Regelblatt 207, Pkt. 5.2.1</t>
  </si>
  <si>
    <t>aus Berechnung bzw. SIA 384/6, Fig. 10</t>
  </si>
  <si>
    <t>spez. Entzugsarbeit **</t>
  </si>
  <si>
    <t>Bodenoberflächentemperatur Heizen*</t>
  </si>
  <si>
    <t>Regressionsgerade ZAMG - 0,5 K</t>
  </si>
  <si>
    <t xml:space="preserve">Bemessung von EWS in Anlehnung an SIA 384/6, 1. Auflage 11-2009 </t>
  </si>
  <si>
    <t>aus ÖWAV RB 207 Abb.13 bzw.SIA 384/6 Fig. 7</t>
  </si>
  <si>
    <t>Iteration</t>
  </si>
  <si>
    <t>ÖWAV Regelblatt 207, Anhang 4</t>
  </si>
  <si>
    <t>Jahresbetriebsstunden WP Heizen und Kühlen</t>
  </si>
  <si>
    <t>Jahresbetriebsstunden WP Warmwasser</t>
  </si>
  <si>
    <t>Jahresbetriebsstunden WP Summe</t>
  </si>
  <si>
    <t>Objekt</t>
  </si>
  <si>
    <t>Gesteinstyp:</t>
  </si>
  <si>
    <t>Sondenlänge</t>
  </si>
  <si>
    <t xml:space="preserve">Sondenlänge </t>
  </si>
  <si>
    <t>Sondenlänge mit Korrekturfaktoren</t>
  </si>
  <si>
    <t>spez. Entzugsleistung mit Korrekturfaktoren</t>
  </si>
  <si>
    <t>Hydraulik für Duplex - EWS</t>
  </si>
  <si>
    <t>Durchfluss je Sonde bei Parralelschaltung</t>
  </si>
  <si>
    <t>[mm²/s]</t>
  </si>
  <si>
    <t>Innendurchmesser Sondenrohre</t>
  </si>
  <si>
    <t>mm</t>
  </si>
  <si>
    <t>Wasser 5°C</t>
  </si>
  <si>
    <t>Strömungsgeschwindigkeit in Sondenrohren</t>
  </si>
  <si>
    <t>[m/s]</t>
  </si>
  <si>
    <t>[ - ]</t>
  </si>
  <si>
    <t>Reynold-Zahl (Re krit. = 2320)</t>
  </si>
  <si>
    <t>Ethanol 20%</t>
  </si>
  <si>
    <t>Ethylen glykol 20%</t>
  </si>
  <si>
    <t>kinematische Viskosität bei 0°C</t>
  </si>
  <si>
    <t>kinematische Viskosität bei 5°C</t>
  </si>
  <si>
    <t>Strömungsverhältnisse bei 0°C***</t>
  </si>
  <si>
    <t>erforderl. Kühlleistung: nur für freie Kühlung</t>
  </si>
  <si>
    <t>spez. Wärmekapazität Frostschutz bei 0°C</t>
  </si>
  <si>
    <t>freie Kühlung abgezogen</t>
  </si>
  <si>
    <t xml:space="preserve">** 80 - 100 kWh/(m*Jahr): Technisches Merkblatt T1 AWP Schweiz </t>
  </si>
  <si>
    <t xml:space="preserve">* berechnet mit Regressionsgerade der Datenreihen 1997 bis 2007 von ca. 150 österr. Bodentemperaturmesstellen der ZAMG in Abhängigkeit von  Höhe über Meer  (Götzl,GBA, 2009). Wegen der geringen Streuung der Datenpunkte um die Regressionsgerade  (Bestimmtheitsmaß 0,93) wird nur Toleranzwert von 0,5 K abgezogen: y =-0,0041x + 12,02   </t>
  </si>
  <si>
    <t>*** Strömungsverhältnisse sollen turbulent sein; SIA 384/6, D5:  wenn laminar, wird Sole um 1,5 K kälter und Stromverbrauch der WP steigt um 4,5%</t>
  </si>
  <si>
    <t>Propylen glykol 25%</t>
  </si>
  <si>
    <t>2 -4 kWh/E,Tag  bei durchschn. Benutzerverhalten</t>
  </si>
  <si>
    <t>Der ÖWAV und die Verfasser übernehmen keine wie auch immer geartete Haftung für die Richtigkeit der Ergebnisse bei der Verwendung dieses Excel Spreadsheets</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</si>
</sst>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 numFmtId="174" formatCode="#,##0.00000"/>
    <numFmt numFmtId="175" formatCode="0.000"/>
    <numFmt numFmtId="176" formatCode="0.000000"/>
    <numFmt numFmtId="177" formatCode="&quot;Ja&quot;;&quot;Ja&quot;;&quot;Nein&quot;"/>
    <numFmt numFmtId="178" formatCode="&quot;Wahr&quot;;&quot;Wahr&quot;;&quot;Falsch&quot;"/>
    <numFmt numFmtId="179" formatCode="&quot;Ein&quot;;&quot;Ein&quot;;&quot;Aus&quot;"/>
    <numFmt numFmtId="180" formatCode="[$€-2]\ #,##0.00_);[Red]\([$€-2]\ #,##0.00\)"/>
    <numFmt numFmtId="181" formatCode="0.00000"/>
  </numFmts>
  <fonts count="43">
    <font>
      <sz val="10"/>
      <name val="Arial"/>
      <family val="0"/>
    </font>
    <font>
      <sz val="8"/>
      <name val="Arial"/>
      <family val="0"/>
    </font>
    <font>
      <sz val="16"/>
      <name val="Arial"/>
      <family val="0"/>
    </font>
    <font>
      <b/>
      <sz val="16"/>
      <name val="Arial"/>
      <family val="0"/>
    </font>
    <font>
      <b/>
      <sz val="18"/>
      <name val="Arial"/>
      <family val="0"/>
    </font>
    <font>
      <b/>
      <sz val="22"/>
      <name val="Arial"/>
      <family val="0"/>
    </font>
    <font>
      <u val="single"/>
      <sz val="10"/>
      <color indexed="12"/>
      <name val="Arial"/>
      <family val="0"/>
    </font>
    <font>
      <u val="single"/>
      <sz val="10"/>
      <color indexed="36"/>
      <name val="Arial"/>
      <family val="0"/>
    </font>
    <font>
      <b/>
      <sz val="10"/>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rgb="FF00B0F0"/>
        <bgColor indexed="64"/>
      </patternFill>
    </fill>
  </fills>
  <borders count="4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ck"/>
      <right>
        <color indexed="63"/>
      </right>
      <top>
        <color indexed="63"/>
      </top>
      <bottom>
        <color indexed="63"/>
      </bottom>
    </border>
    <border>
      <left>
        <color indexed="63"/>
      </left>
      <right>
        <color indexed="63"/>
      </right>
      <top style="thick"/>
      <bottom>
        <color indexed="63"/>
      </bottom>
    </border>
    <border>
      <left>
        <color indexed="63"/>
      </left>
      <right>
        <color indexed="63"/>
      </right>
      <top style="medium"/>
      <bottom style="medium"/>
    </border>
    <border>
      <left style="thin"/>
      <right style="thin"/>
      <top style="thin"/>
      <bottom style="thin"/>
    </border>
    <border>
      <left style="thin"/>
      <right style="thin"/>
      <top style="thin"/>
      <bottom>
        <color indexed="63"/>
      </bottom>
    </border>
    <border>
      <left style="medium"/>
      <right style="medium"/>
      <top style="medium"/>
      <bottom style="medium"/>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medium"/>
      <top style="medium"/>
      <bottom style="thin"/>
    </border>
    <border>
      <left style="thin"/>
      <right style="medium"/>
      <top style="thin"/>
      <bottom style="medium"/>
    </border>
    <border>
      <left style="thin"/>
      <right style="medium"/>
      <top style="thin"/>
      <bottom style="thin"/>
    </border>
    <border>
      <left style="thin"/>
      <right>
        <color indexed="63"/>
      </right>
      <top style="thin"/>
      <bottom style="thin"/>
    </border>
    <border>
      <left style="thin"/>
      <right>
        <color indexed="63"/>
      </right>
      <top style="medium"/>
      <bottom style="medium"/>
    </border>
    <border>
      <left style="thin"/>
      <right style="thin"/>
      <top style="medium"/>
      <bottom style="medium"/>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
      <left style="medium"/>
      <right>
        <color indexed="63"/>
      </right>
      <top style="thick"/>
      <bottom>
        <color indexed="63"/>
      </bottom>
    </border>
    <border>
      <left>
        <color indexed="63"/>
      </left>
      <right style="medium"/>
      <top style="thick"/>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medium"/>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0" fontId="6" fillId="0" borderId="0" applyNumberForma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153">
    <xf numFmtId="0" fontId="0" fillId="0" borderId="0" xfId="0" applyAlignment="1">
      <alignment/>
    </xf>
    <xf numFmtId="0" fontId="2" fillId="0" borderId="0" xfId="0" applyNumberFormat="1" applyFont="1" applyFill="1" applyBorder="1" applyAlignment="1">
      <alignment/>
    </xf>
    <xf numFmtId="0" fontId="4" fillId="0" borderId="0" xfId="0" applyNumberFormat="1" applyFont="1" applyBorder="1" applyAlignment="1">
      <alignment/>
    </xf>
    <xf numFmtId="0" fontId="4" fillId="0" borderId="0" xfId="0" applyNumberFormat="1" applyFont="1" applyFill="1" applyBorder="1" applyAlignment="1">
      <alignment/>
    </xf>
    <xf numFmtId="0" fontId="3" fillId="0" borderId="0" xfId="0" applyNumberFormat="1" applyFont="1" applyBorder="1" applyAlignment="1">
      <alignment/>
    </xf>
    <xf numFmtId="0" fontId="3" fillId="0" borderId="0" xfId="0" applyNumberFormat="1" applyFont="1" applyFill="1" applyBorder="1" applyAlignment="1">
      <alignment/>
    </xf>
    <xf numFmtId="0" fontId="2" fillId="0" borderId="0" xfId="0" applyNumberFormat="1" applyFont="1" applyBorder="1" applyAlignment="1">
      <alignment/>
    </xf>
    <xf numFmtId="0" fontId="2" fillId="0" borderId="10" xfId="0" applyNumberFormat="1" applyFont="1" applyBorder="1" applyAlignment="1">
      <alignment/>
    </xf>
    <xf numFmtId="0" fontId="2" fillId="0" borderId="0" xfId="0" applyNumberFormat="1" applyFont="1" applyBorder="1" applyAlignment="1">
      <alignment wrapText="1"/>
    </xf>
    <xf numFmtId="0" fontId="2" fillId="0" borderId="11" xfId="0" applyNumberFormat="1" applyFont="1" applyBorder="1" applyAlignment="1">
      <alignment/>
    </xf>
    <xf numFmtId="0" fontId="2" fillId="0" borderId="11" xfId="0" applyNumberFormat="1" applyFont="1" applyFill="1" applyBorder="1" applyAlignment="1">
      <alignment/>
    </xf>
    <xf numFmtId="4" fontId="2" fillId="0" borderId="0" xfId="0" applyNumberFormat="1" applyFont="1" applyBorder="1" applyAlignment="1">
      <alignment/>
    </xf>
    <xf numFmtId="4" fontId="2" fillId="0" borderId="0" xfId="0" applyNumberFormat="1" applyFont="1" applyFill="1" applyBorder="1" applyAlignment="1">
      <alignment/>
    </xf>
    <xf numFmtId="3" fontId="2" fillId="0" borderId="0" xfId="0" applyNumberFormat="1" applyFont="1" applyBorder="1" applyAlignment="1">
      <alignment/>
    </xf>
    <xf numFmtId="3" fontId="2" fillId="0" borderId="0" xfId="0" applyNumberFormat="1" applyFont="1" applyFill="1" applyBorder="1" applyAlignment="1">
      <alignment/>
    </xf>
    <xf numFmtId="4" fontId="3" fillId="0" borderId="0" xfId="0" applyNumberFormat="1" applyFont="1" applyFill="1" applyBorder="1" applyAlignment="1">
      <alignment/>
    </xf>
    <xf numFmtId="4" fontId="3" fillId="0" borderId="0" xfId="0" applyNumberFormat="1" applyFont="1" applyBorder="1" applyAlignment="1">
      <alignment/>
    </xf>
    <xf numFmtId="173" fontId="2" fillId="0" borderId="0" xfId="0" applyNumberFormat="1" applyFont="1" applyBorder="1" applyAlignment="1">
      <alignment/>
    </xf>
    <xf numFmtId="173" fontId="2" fillId="0" borderId="0" xfId="0" applyNumberFormat="1" applyFont="1" applyFill="1" applyBorder="1" applyAlignment="1">
      <alignment/>
    </xf>
    <xf numFmtId="175" fontId="2" fillId="0" borderId="0" xfId="0" applyNumberFormat="1" applyFont="1" applyBorder="1" applyAlignment="1">
      <alignment/>
    </xf>
    <xf numFmtId="175" fontId="2" fillId="0" borderId="0" xfId="0" applyNumberFormat="1" applyFont="1" applyFill="1" applyBorder="1" applyAlignment="1">
      <alignment/>
    </xf>
    <xf numFmtId="2" fontId="2" fillId="0" borderId="0" xfId="0" applyNumberFormat="1" applyFont="1" applyBorder="1" applyAlignment="1">
      <alignment/>
    </xf>
    <xf numFmtId="2" fontId="2" fillId="0" borderId="0" xfId="0" applyNumberFormat="1" applyFont="1" applyFill="1" applyBorder="1" applyAlignment="1">
      <alignment/>
    </xf>
    <xf numFmtId="172" fontId="2" fillId="0" borderId="0" xfId="0" applyNumberFormat="1" applyFont="1" applyBorder="1" applyAlignment="1">
      <alignment/>
    </xf>
    <xf numFmtId="172" fontId="2" fillId="0" borderId="0" xfId="0" applyNumberFormat="1" applyFont="1" applyFill="1" applyBorder="1" applyAlignment="1">
      <alignment/>
    </xf>
    <xf numFmtId="172" fontId="3" fillId="0" borderId="0" xfId="0" applyNumberFormat="1" applyFont="1" applyFill="1" applyBorder="1" applyAlignment="1">
      <alignment/>
    </xf>
    <xf numFmtId="2" fontId="3" fillId="0" borderId="0" xfId="0" applyNumberFormat="1" applyFont="1" applyBorder="1" applyAlignment="1">
      <alignment/>
    </xf>
    <xf numFmtId="2" fontId="3" fillId="0" borderId="0" xfId="0" applyNumberFormat="1" applyFont="1" applyFill="1" applyBorder="1" applyAlignment="1">
      <alignment/>
    </xf>
    <xf numFmtId="1" fontId="2" fillId="0" borderId="0" xfId="0" applyNumberFormat="1" applyFont="1" applyBorder="1" applyAlignment="1">
      <alignment/>
    </xf>
    <xf numFmtId="0" fontId="2" fillId="0" borderId="11" xfId="0" applyNumberFormat="1" applyFont="1" applyBorder="1" applyAlignment="1">
      <alignment wrapText="1"/>
    </xf>
    <xf numFmtId="0" fontId="4" fillId="0" borderId="0" xfId="0" applyNumberFormat="1" applyFont="1" applyBorder="1" applyAlignment="1">
      <alignment wrapText="1"/>
    </xf>
    <xf numFmtId="0" fontId="3" fillId="0" borderId="0" xfId="0" applyNumberFormat="1" applyFont="1" applyBorder="1" applyAlignment="1">
      <alignment wrapText="1"/>
    </xf>
    <xf numFmtId="0" fontId="2" fillId="0" borderId="0" xfId="0" applyNumberFormat="1" applyFont="1" applyFill="1" applyBorder="1" applyAlignment="1">
      <alignment wrapText="1"/>
    </xf>
    <xf numFmtId="2" fontId="3" fillId="0" borderId="0" xfId="0" applyNumberFormat="1" applyFont="1" applyBorder="1" applyAlignment="1">
      <alignment wrapText="1"/>
    </xf>
    <xf numFmtId="176" fontId="2" fillId="0" borderId="0" xfId="0" applyNumberFormat="1" applyFont="1" applyBorder="1" applyAlignment="1">
      <alignment/>
    </xf>
    <xf numFmtId="172" fontId="3" fillId="0" borderId="0" xfId="0" applyNumberFormat="1" applyFont="1" applyBorder="1" applyAlignment="1">
      <alignment/>
    </xf>
    <xf numFmtId="0" fontId="4" fillId="0" borderId="12" xfId="0" applyNumberFormat="1" applyFont="1" applyBorder="1" applyAlignment="1">
      <alignment/>
    </xf>
    <xf numFmtId="0" fontId="2" fillId="0" borderId="13" xfId="0" applyNumberFormat="1" applyFont="1" applyBorder="1" applyAlignment="1">
      <alignment wrapText="1"/>
    </xf>
    <xf numFmtId="0" fontId="2" fillId="0" borderId="13" xfId="0" applyNumberFormat="1" applyFont="1" applyBorder="1" applyAlignment="1">
      <alignment/>
    </xf>
    <xf numFmtId="0" fontId="2" fillId="33" borderId="13" xfId="0" applyNumberFormat="1" applyFont="1" applyFill="1" applyBorder="1" applyAlignment="1">
      <alignment/>
    </xf>
    <xf numFmtId="3" fontId="2" fillId="0" borderId="13" xfId="0" applyNumberFormat="1" applyFont="1" applyBorder="1" applyAlignment="1">
      <alignment wrapText="1"/>
    </xf>
    <xf numFmtId="3" fontId="2" fillId="0" borderId="13" xfId="0" applyNumberFormat="1" applyFont="1" applyBorder="1" applyAlignment="1">
      <alignment/>
    </xf>
    <xf numFmtId="3" fontId="2" fillId="33" borderId="13" xfId="0" applyNumberFormat="1" applyFont="1" applyFill="1" applyBorder="1" applyAlignment="1">
      <alignment/>
    </xf>
    <xf numFmtId="4" fontId="2" fillId="0" borderId="13" xfId="0" applyNumberFormat="1" applyFont="1" applyBorder="1" applyAlignment="1">
      <alignment wrapText="1"/>
    </xf>
    <xf numFmtId="4" fontId="2" fillId="0" borderId="13" xfId="0" applyNumberFormat="1" applyFont="1" applyBorder="1" applyAlignment="1">
      <alignment/>
    </xf>
    <xf numFmtId="4" fontId="2" fillId="33" borderId="13" xfId="0" applyNumberFormat="1" applyFont="1" applyFill="1" applyBorder="1" applyAlignment="1">
      <alignment/>
    </xf>
    <xf numFmtId="173" fontId="2" fillId="0" borderId="13" xfId="0" applyNumberFormat="1" applyFont="1" applyBorder="1" applyAlignment="1">
      <alignment wrapText="1"/>
    </xf>
    <xf numFmtId="173" fontId="2" fillId="0" borderId="13" xfId="0" applyNumberFormat="1" applyFont="1" applyBorder="1" applyAlignment="1">
      <alignment/>
    </xf>
    <xf numFmtId="173" fontId="2" fillId="33" borderId="13" xfId="0" applyNumberFormat="1" applyFont="1" applyFill="1" applyBorder="1" applyAlignment="1">
      <alignment/>
    </xf>
    <xf numFmtId="175" fontId="2" fillId="0" borderId="13" xfId="0" applyNumberFormat="1" applyFont="1" applyBorder="1" applyAlignment="1">
      <alignment wrapText="1"/>
    </xf>
    <xf numFmtId="175" fontId="2" fillId="0" borderId="13" xfId="0" applyNumberFormat="1" applyFont="1" applyBorder="1" applyAlignment="1">
      <alignment/>
    </xf>
    <xf numFmtId="2" fontId="2" fillId="0" borderId="13" xfId="0" applyNumberFormat="1" applyFont="1" applyBorder="1" applyAlignment="1">
      <alignment wrapText="1"/>
    </xf>
    <xf numFmtId="2" fontId="2" fillId="0" borderId="13" xfId="0" applyNumberFormat="1" applyFont="1" applyBorder="1" applyAlignment="1">
      <alignment/>
    </xf>
    <xf numFmtId="172" fontId="2" fillId="0" borderId="13" xfId="0" applyNumberFormat="1" applyFont="1" applyBorder="1" applyAlignment="1">
      <alignment wrapText="1"/>
    </xf>
    <xf numFmtId="172" fontId="2" fillId="0" borderId="13" xfId="0" applyNumberFormat="1" applyFont="1" applyBorder="1" applyAlignment="1">
      <alignment/>
    </xf>
    <xf numFmtId="172" fontId="2" fillId="33" borderId="13" xfId="0" applyNumberFormat="1" applyFont="1" applyFill="1" applyBorder="1" applyAlignment="1">
      <alignment/>
    </xf>
    <xf numFmtId="2" fontId="2" fillId="0" borderId="14" xfId="0" applyNumberFormat="1" applyFont="1" applyBorder="1" applyAlignment="1">
      <alignment wrapText="1"/>
    </xf>
    <xf numFmtId="2" fontId="2" fillId="0" borderId="14" xfId="0" applyNumberFormat="1" applyFont="1" applyBorder="1" applyAlignment="1">
      <alignment/>
    </xf>
    <xf numFmtId="0" fontId="4" fillId="33" borderId="15" xfId="0" applyNumberFormat="1" applyFont="1" applyFill="1" applyBorder="1" applyAlignment="1">
      <alignment/>
    </xf>
    <xf numFmtId="1" fontId="2" fillId="0" borderId="13" xfId="0" applyNumberFormat="1" applyFont="1" applyBorder="1" applyAlignment="1">
      <alignment wrapText="1"/>
    </xf>
    <xf numFmtId="0" fontId="2" fillId="0" borderId="14" xfId="0" applyNumberFormat="1" applyFont="1" applyBorder="1" applyAlignment="1">
      <alignment wrapText="1"/>
    </xf>
    <xf numFmtId="176" fontId="2" fillId="0" borderId="16" xfId="0" applyNumberFormat="1" applyFont="1" applyBorder="1" applyAlignment="1">
      <alignment wrapText="1"/>
    </xf>
    <xf numFmtId="172" fontId="3" fillId="0" borderId="17" xfId="0" applyNumberFormat="1" applyFont="1" applyBorder="1" applyAlignment="1">
      <alignment wrapText="1"/>
    </xf>
    <xf numFmtId="172" fontId="3" fillId="0" borderId="18" xfId="0" applyNumberFormat="1" applyFont="1" applyBorder="1" applyAlignment="1">
      <alignment/>
    </xf>
    <xf numFmtId="2" fontId="2" fillId="0" borderId="19" xfId="0" applyNumberFormat="1" applyFont="1" applyBorder="1" applyAlignment="1">
      <alignment wrapText="1"/>
    </xf>
    <xf numFmtId="2" fontId="2" fillId="0" borderId="20" xfId="0" applyNumberFormat="1" applyFont="1" applyBorder="1" applyAlignment="1">
      <alignment wrapText="1"/>
    </xf>
    <xf numFmtId="2" fontId="2" fillId="0" borderId="21" xfId="0" applyNumberFormat="1" applyFont="1" applyBorder="1" applyAlignment="1">
      <alignment/>
    </xf>
    <xf numFmtId="3" fontId="2" fillId="33" borderId="14" xfId="0" applyNumberFormat="1" applyFont="1" applyFill="1" applyBorder="1" applyAlignment="1">
      <alignment/>
    </xf>
    <xf numFmtId="0" fontId="3" fillId="0" borderId="22" xfId="0" applyNumberFormat="1" applyFont="1" applyBorder="1" applyAlignment="1">
      <alignment wrapText="1"/>
    </xf>
    <xf numFmtId="1" fontId="2" fillId="33" borderId="13" xfId="0" applyNumberFormat="1" applyFont="1" applyFill="1" applyBorder="1" applyAlignment="1">
      <alignment/>
    </xf>
    <xf numFmtId="172" fontId="2" fillId="33" borderId="14" xfId="0" applyNumberFormat="1" applyFont="1" applyFill="1" applyBorder="1" applyAlignment="1">
      <alignment/>
    </xf>
    <xf numFmtId="1" fontId="3" fillId="33" borderId="23" xfId="0" applyNumberFormat="1" applyFont="1" applyFill="1" applyBorder="1" applyAlignment="1">
      <alignment/>
    </xf>
    <xf numFmtId="1" fontId="2" fillId="33" borderId="24" xfId="0" applyNumberFormat="1" applyFont="1" applyFill="1" applyBorder="1" applyAlignment="1">
      <alignment/>
    </xf>
    <xf numFmtId="1" fontId="2" fillId="33" borderId="25" xfId="0" applyNumberFormat="1" applyFont="1" applyFill="1" applyBorder="1" applyAlignment="1">
      <alignment/>
    </xf>
    <xf numFmtId="3" fontId="2" fillId="33" borderId="16" xfId="0" applyNumberFormat="1" applyFont="1" applyFill="1" applyBorder="1" applyAlignment="1">
      <alignment/>
    </xf>
    <xf numFmtId="2" fontId="2" fillId="0" borderId="0" xfId="0" applyNumberFormat="1" applyFont="1" applyBorder="1" applyAlignment="1">
      <alignment wrapText="1"/>
    </xf>
    <xf numFmtId="0" fontId="2" fillId="0" borderId="26" xfId="0" applyNumberFormat="1" applyFont="1" applyBorder="1" applyAlignment="1">
      <alignment/>
    </xf>
    <xf numFmtId="176" fontId="2" fillId="0" borderId="26" xfId="0" applyNumberFormat="1" applyFont="1" applyBorder="1" applyAlignment="1">
      <alignment/>
    </xf>
    <xf numFmtId="1" fontId="2" fillId="0" borderId="26" xfId="0" applyNumberFormat="1" applyFont="1" applyBorder="1" applyAlignment="1">
      <alignment/>
    </xf>
    <xf numFmtId="0" fontId="3" fillId="0" borderId="27" xfId="0" applyNumberFormat="1" applyFont="1" applyBorder="1" applyAlignment="1">
      <alignment/>
    </xf>
    <xf numFmtId="0" fontId="2" fillId="0" borderId="13" xfId="0" applyNumberFormat="1" applyFont="1" applyFill="1" applyBorder="1" applyAlignment="1">
      <alignment/>
    </xf>
    <xf numFmtId="3" fontId="2" fillId="0" borderId="13" xfId="0" applyNumberFormat="1" applyFont="1" applyFill="1" applyBorder="1" applyAlignment="1">
      <alignment/>
    </xf>
    <xf numFmtId="0" fontId="3" fillId="33" borderId="28" xfId="0" applyNumberFormat="1" applyFont="1" applyFill="1" applyBorder="1" applyAlignment="1">
      <alignment horizontal="right"/>
    </xf>
    <xf numFmtId="4" fontId="2" fillId="0" borderId="13" xfId="0" applyNumberFormat="1" applyFont="1" applyFill="1" applyBorder="1" applyAlignment="1">
      <alignment/>
    </xf>
    <xf numFmtId="0" fontId="4" fillId="34" borderId="15" xfId="0" applyNumberFormat="1" applyFont="1" applyFill="1" applyBorder="1" applyAlignment="1" applyProtection="1">
      <alignment/>
      <protection locked="0"/>
    </xf>
    <xf numFmtId="0" fontId="2" fillId="34" borderId="13" xfId="0" applyNumberFormat="1" applyFont="1" applyFill="1" applyBorder="1" applyAlignment="1" applyProtection="1">
      <alignment/>
      <protection locked="0"/>
    </xf>
    <xf numFmtId="3" fontId="2" fillId="34" borderId="13" xfId="0" applyNumberFormat="1" applyFont="1" applyFill="1" applyBorder="1" applyAlignment="1" applyProtection="1">
      <alignment/>
      <protection locked="0"/>
    </xf>
    <xf numFmtId="4" fontId="2" fillId="34" borderId="13" xfId="0" applyNumberFormat="1" applyFont="1" applyFill="1" applyBorder="1" applyAlignment="1" applyProtection="1">
      <alignment/>
      <protection locked="0"/>
    </xf>
    <xf numFmtId="173" fontId="2" fillId="34" borderId="13" xfId="0" applyNumberFormat="1" applyFont="1" applyFill="1" applyBorder="1" applyAlignment="1" applyProtection="1">
      <alignment/>
      <protection locked="0"/>
    </xf>
    <xf numFmtId="172" fontId="2" fillId="34" borderId="13" xfId="0" applyNumberFormat="1" applyFont="1" applyFill="1" applyBorder="1" applyAlignment="1" applyProtection="1">
      <alignment/>
      <protection locked="0"/>
    </xf>
    <xf numFmtId="175" fontId="2" fillId="34" borderId="13" xfId="0" applyNumberFormat="1" applyFont="1" applyFill="1" applyBorder="1" applyAlignment="1" applyProtection="1">
      <alignment/>
      <protection locked="0"/>
    </xf>
    <xf numFmtId="0" fontId="2" fillId="0" borderId="29" xfId="0" applyNumberFormat="1" applyFont="1" applyBorder="1" applyAlignment="1">
      <alignment/>
    </xf>
    <xf numFmtId="0" fontId="2" fillId="0" borderId="30" xfId="0" applyNumberFormat="1" applyFont="1" applyBorder="1" applyAlignment="1">
      <alignment wrapText="1"/>
    </xf>
    <xf numFmtId="0" fontId="2" fillId="0" borderId="30" xfId="0" applyNumberFormat="1" applyFont="1" applyBorder="1" applyAlignment="1">
      <alignment/>
    </xf>
    <xf numFmtId="0" fontId="2" fillId="0" borderId="30" xfId="0" applyNumberFormat="1" applyFont="1" applyFill="1" applyBorder="1" applyAlignment="1">
      <alignment/>
    </xf>
    <xf numFmtId="0" fontId="2" fillId="0" borderId="31" xfId="0" applyNumberFormat="1" applyFont="1" applyFill="1" applyBorder="1" applyAlignment="1">
      <alignment/>
    </xf>
    <xf numFmtId="0" fontId="5" fillId="0" borderId="32" xfId="0" applyNumberFormat="1" applyFont="1" applyBorder="1" applyAlignment="1">
      <alignment/>
    </xf>
    <xf numFmtId="0" fontId="2" fillId="0" borderId="33" xfId="0" applyNumberFormat="1" applyFont="1" applyFill="1" applyBorder="1" applyAlignment="1">
      <alignment/>
    </xf>
    <xf numFmtId="0" fontId="5" fillId="0" borderId="34" xfId="0" applyNumberFormat="1" applyFont="1" applyBorder="1" applyAlignment="1">
      <alignment/>
    </xf>
    <xf numFmtId="0" fontId="4" fillId="0" borderId="35" xfId="0" applyNumberFormat="1" applyFont="1" applyFill="1" applyBorder="1" applyAlignment="1">
      <alignment/>
    </xf>
    <xf numFmtId="0" fontId="2" fillId="0" borderId="36" xfId="0" applyNumberFormat="1" applyFont="1" applyFill="1" applyBorder="1" applyAlignment="1">
      <alignment/>
    </xf>
    <xf numFmtId="0" fontId="2" fillId="0" borderId="34" xfId="0" applyNumberFormat="1" applyFont="1" applyBorder="1" applyAlignment="1">
      <alignment/>
    </xf>
    <xf numFmtId="0" fontId="2" fillId="0" borderId="35" xfId="0" applyNumberFormat="1" applyFont="1" applyFill="1" applyBorder="1" applyAlignment="1">
      <alignment/>
    </xf>
    <xf numFmtId="0" fontId="3" fillId="0" borderId="34" xfId="0" applyNumberFormat="1" applyFont="1" applyBorder="1" applyAlignment="1">
      <alignment/>
    </xf>
    <xf numFmtId="3" fontId="2" fillId="0" borderId="34" xfId="0" applyNumberFormat="1" applyFont="1" applyBorder="1" applyAlignment="1">
      <alignment/>
    </xf>
    <xf numFmtId="3" fontId="2" fillId="0" borderId="35" xfId="0" applyNumberFormat="1" applyFont="1" applyFill="1" applyBorder="1" applyAlignment="1">
      <alignment/>
    </xf>
    <xf numFmtId="4" fontId="2" fillId="0" borderId="34" xfId="0" applyNumberFormat="1" applyFont="1" applyBorder="1" applyAlignment="1">
      <alignment/>
    </xf>
    <xf numFmtId="4" fontId="2" fillId="0" borderId="35" xfId="0" applyNumberFormat="1" applyFont="1" applyFill="1" applyBorder="1" applyAlignment="1">
      <alignment/>
    </xf>
    <xf numFmtId="4" fontId="3" fillId="0" borderId="34" xfId="0" applyNumberFormat="1" applyFont="1" applyBorder="1" applyAlignment="1">
      <alignment/>
    </xf>
    <xf numFmtId="4" fontId="3" fillId="0" borderId="35" xfId="0" applyNumberFormat="1" applyFont="1" applyFill="1" applyBorder="1" applyAlignment="1">
      <alignment/>
    </xf>
    <xf numFmtId="0" fontId="2" fillId="0" borderId="34" xfId="0" applyNumberFormat="1" applyFont="1" applyFill="1" applyBorder="1" applyAlignment="1">
      <alignment/>
    </xf>
    <xf numFmtId="0" fontId="3" fillId="0" borderId="35" xfId="0" applyNumberFormat="1" applyFont="1" applyFill="1" applyBorder="1" applyAlignment="1">
      <alignment/>
    </xf>
    <xf numFmtId="173" fontId="2" fillId="0" borderId="34" xfId="0" applyNumberFormat="1" applyFont="1" applyBorder="1" applyAlignment="1">
      <alignment/>
    </xf>
    <xf numFmtId="173" fontId="2" fillId="0" borderId="35" xfId="0" applyNumberFormat="1" applyFont="1" applyFill="1" applyBorder="1" applyAlignment="1">
      <alignment/>
    </xf>
    <xf numFmtId="175" fontId="2" fillId="0" borderId="34" xfId="0" applyNumberFormat="1" applyFont="1" applyBorder="1" applyAlignment="1">
      <alignment/>
    </xf>
    <xf numFmtId="175" fontId="2" fillId="0" borderId="35" xfId="0" applyNumberFormat="1" applyFont="1" applyFill="1" applyBorder="1" applyAlignment="1">
      <alignment/>
    </xf>
    <xf numFmtId="2" fontId="2" fillId="0" borderId="34" xfId="0" applyNumberFormat="1" applyFont="1" applyBorder="1" applyAlignment="1">
      <alignment/>
    </xf>
    <xf numFmtId="2" fontId="2" fillId="0" borderId="35" xfId="0" applyNumberFormat="1" applyFont="1" applyFill="1" applyBorder="1" applyAlignment="1">
      <alignment/>
    </xf>
    <xf numFmtId="172" fontId="2" fillId="0" borderId="34" xfId="0" applyNumberFormat="1" applyFont="1" applyBorder="1" applyAlignment="1">
      <alignment/>
    </xf>
    <xf numFmtId="172" fontId="2" fillId="0" borderId="35" xfId="0" applyNumberFormat="1" applyFont="1" applyFill="1" applyBorder="1" applyAlignment="1">
      <alignment/>
    </xf>
    <xf numFmtId="172" fontId="3" fillId="0" borderId="34" xfId="0" applyNumberFormat="1" applyFont="1" applyBorder="1" applyAlignment="1">
      <alignment/>
    </xf>
    <xf numFmtId="172" fontId="3" fillId="0" borderId="35" xfId="0" applyNumberFormat="1" applyFont="1" applyFill="1" applyBorder="1" applyAlignment="1">
      <alignment/>
    </xf>
    <xf numFmtId="2" fontId="3" fillId="0" borderId="35" xfId="0" applyNumberFormat="1" applyFont="1" applyFill="1" applyBorder="1" applyAlignment="1">
      <alignment/>
    </xf>
    <xf numFmtId="2" fontId="3" fillId="0" borderId="34" xfId="0" applyNumberFormat="1" applyFont="1" applyBorder="1" applyAlignment="1">
      <alignment/>
    </xf>
    <xf numFmtId="2" fontId="3" fillId="0" borderId="35" xfId="0" applyNumberFormat="1" applyFont="1" applyBorder="1" applyAlignment="1">
      <alignment/>
    </xf>
    <xf numFmtId="0" fontId="2" fillId="0" borderId="35" xfId="0" applyNumberFormat="1" applyFont="1" applyBorder="1" applyAlignment="1">
      <alignment/>
    </xf>
    <xf numFmtId="176" fontId="2" fillId="0" borderId="34" xfId="0" applyNumberFormat="1" applyFont="1" applyBorder="1" applyAlignment="1">
      <alignment/>
    </xf>
    <xf numFmtId="176" fontId="2" fillId="0" borderId="35" xfId="0" applyNumberFormat="1" applyFont="1" applyBorder="1" applyAlignment="1">
      <alignment/>
    </xf>
    <xf numFmtId="1" fontId="2" fillId="0" borderId="34" xfId="0" applyNumberFormat="1" applyFont="1" applyBorder="1" applyAlignment="1">
      <alignment/>
    </xf>
    <xf numFmtId="1" fontId="2" fillId="0" borderId="35" xfId="0" applyNumberFormat="1" applyFont="1" applyBorder="1" applyAlignment="1">
      <alignment/>
    </xf>
    <xf numFmtId="181" fontId="2" fillId="33" borderId="13" xfId="0" applyNumberFormat="1" applyFont="1" applyFill="1" applyBorder="1" applyAlignment="1">
      <alignment/>
    </xf>
    <xf numFmtId="2" fontId="2" fillId="0" borderId="13" xfId="0" applyNumberFormat="1" applyFont="1" applyFill="1" applyBorder="1" applyAlignment="1">
      <alignment/>
    </xf>
    <xf numFmtId="3" fontId="2" fillId="35" borderId="13" xfId="0" applyNumberFormat="1" applyFont="1" applyFill="1" applyBorder="1" applyAlignment="1" applyProtection="1">
      <alignment/>
      <protection/>
    </xf>
    <xf numFmtId="1" fontId="2" fillId="0" borderId="0" xfId="0" applyNumberFormat="1" applyFont="1" applyFill="1" applyBorder="1" applyAlignment="1">
      <alignment horizontal="left" wrapText="1"/>
    </xf>
    <xf numFmtId="0" fontId="0" fillId="0" borderId="0" xfId="0" applyAlignment="1">
      <alignment horizontal="left"/>
    </xf>
    <xf numFmtId="0" fontId="0" fillId="0" borderId="35" xfId="0" applyBorder="1" applyAlignment="1">
      <alignment horizontal="left"/>
    </xf>
    <xf numFmtId="0" fontId="3" fillId="36" borderId="34" xfId="0" applyNumberFormat="1" applyFont="1" applyFill="1" applyBorder="1" applyAlignment="1">
      <alignment horizontal="center" wrapText="1"/>
    </xf>
    <xf numFmtId="0" fontId="3" fillId="36" borderId="0" xfId="0" applyNumberFormat="1" applyFont="1" applyFill="1" applyBorder="1" applyAlignment="1">
      <alignment horizontal="center" wrapText="1"/>
    </xf>
    <xf numFmtId="0" fontId="3" fillId="36" borderId="35" xfId="0" applyNumberFormat="1" applyFont="1" applyFill="1" applyBorder="1" applyAlignment="1">
      <alignment horizontal="center" wrapText="1"/>
    </xf>
    <xf numFmtId="0" fontId="4" fillId="34" borderId="37" xfId="0" applyNumberFormat="1" applyFont="1" applyFill="1" applyBorder="1" applyAlignment="1" applyProtection="1">
      <alignment horizontal="left" wrapText="1"/>
      <protection locked="0"/>
    </xf>
    <xf numFmtId="0" fontId="4" fillId="34" borderId="12" xfId="0" applyNumberFormat="1" applyFont="1" applyFill="1" applyBorder="1" applyAlignment="1" applyProtection="1">
      <alignment horizontal="left" wrapText="1"/>
      <protection locked="0"/>
    </xf>
    <xf numFmtId="0" fontId="4" fillId="34" borderId="36" xfId="0" applyNumberFormat="1" applyFont="1" applyFill="1" applyBorder="1" applyAlignment="1" applyProtection="1">
      <alignment horizontal="left" wrapText="1"/>
      <protection locked="0"/>
    </xf>
    <xf numFmtId="4" fontId="2" fillId="34" borderId="26" xfId="0" applyNumberFormat="1" applyFont="1" applyFill="1" applyBorder="1" applyAlignment="1" applyProtection="1">
      <alignment horizontal="left"/>
      <protection locked="0"/>
    </xf>
    <xf numFmtId="4" fontId="2" fillId="34" borderId="38" xfId="0" applyNumberFormat="1" applyFont="1" applyFill="1" applyBorder="1" applyAlignment="1" applyProtection="1">
      <alignment horizontal="left"/>
      <protection locked="0"/>
    </xf>
    <xf numFmtId="2" fontId="2" fillId="0" borderId="0" xfId="0" applyNumberFormat="1" applyFont="1" applyFill="1" applyBorder="1" applyAlignment="1">
      <alignment wrapText="1"/>
    </xf>
    <xf numFmtId="0" fontId="0" fillId="0" borderId="0" xfId="0" applyBorder="1" applyAlignment="1">
      <alignment wrapText="1"/>
    </xf>
    <xf numFmtId="0" fontId="0" fillId="0" borderId="35" xfId="0" applyBorder="1" applyAlignment="1">
      <alignment wrapText="1"/>
    </xf>
    <xf numFmtId="4" fontId="2" fillId="0" borderId="39" xfId="0" applyNumberFormat="1" applyFont="1" applyFill="1" applyBorder="1" applyAlignment="1">
      <alignment horizontal="center" vertical="center" textRotation="90"/>
    </xf>
    <xf numFmtId="0" fontId="0" fillId="0" borderId="40" xfId="0" applyBorder="1" applyAlignment="1">
      <alignment horizontal="center" vertical="center" textRotation="90"/>
    </xf>
    <xf numFmtId="0" fontId="0" fillId="0" borderId="41" xfId="0" applyBorder="1" applyAlignment="1">
      <alignment horizontal="center" vertical="center" textRotation="90"/>
    </xf>
    <xf numFmtId="0" fontId="3" fillId="0" borderId="13" xfId="0" applyNumberFormat="1" applyFont="1" applyFill="1" applyBorder="1" applyAlignment="1">
      <alignment wrapText="1"/>
    </xf>
    <xf numFmtId="0" fontId="8" fillId="0" borderId="13" xfId="0" applyFont="1" applyFill="1" applyBorder="1" applyAlignment="1">
      <alignment wrapText="1"/>
    </xf>
    <xf numFmtId="0" fontId="3" fillId="0" borderId="13" xfId="0" applyNumberFormat="1" applyFont="1" applyFill="1" applyBorder="1" applyAlignment="1">
      <alignment wrapText="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93"/>
  <sheetViews>
    <sheetView tabSelected="1" view="pageBreakPreview" zoomScale="40" zoomScaleNormal="50" zoomScaleSheetLayoutView="40" zoomScalePageLayoutView="0" workbookViewId="0" topLeftCell="A1">
      <selection activeCell="D17" sqref="D17"/>
    </sheetView>
  </sheetViews>
  <sheetFormatPr defaultColWidth="11.421875" defaultRowHeight="12.75"/>
  <cols>
    <col min="1" max="1" width="14.28125" style="7" customWidth="1"/>
    <col min="2" max="2" width="69.8515625" style="8" customWidth="1"/>
    <col min="3" max="3" width="23.57421875" style="6" bestFit="1" customWidth="1"/>
    <col min="4" max="4" width="19.28125" style="6" bestFit="1" customWidth="1"/>
    <col min="5" max="5" width="20.7109375" style="1" customWidth="1"/>
    <col min="6" max="6" width="18.28125" style="1" customWidth="1"/>
    <col min="7" max="7" width="18.57421875" style="1" customWidth="1"/>
    <col min="8" max="8" width="16.00390625" style="1" customWidth="1"/>
    <col min="9" max="16384" width="11.421875" style="6" customWidth="1"/>
  </cols>
  <sheetData>
    <row r="1" spans="1:8" ht="21" thickBot="1">
      <c r="A1" s="91"/>
      <c r="B1" s="92"/>
      <c r="C1" s="93"/>
      <c r="D1" s="93"/>
      <c r="E1" s="94"/>
      <c r="F1" s="94"/>
      <c r="G1" s="94"/>
      <c r="H1" s="95"/>
    </row>
    <row r="2" spans="1:8" ht="28.5" thickTop="1">
      <c r="A2" s="96" t="s">
        <v>89</v>
      </c>
      <c r="B2" s="29"/>
      <c r="C2" s="9"/>
      <c r="D2" s="9"/>
      <c r="E2" s="10"/>
      <c r="F2" s="10"/>
      <c r="G2" s="10"/>
      <c r="H2" s="97"/>
    </row>
    <row r="3" spans="1:8" s="2" customFormat="1" ht="28.5" thickBot="1">
      <c r="A3" s="98" t="s">
        <v>86</v>
      </c>
      <c r="B3" s="30"/>
      <c r="E3" s="3"/>
      <c r="F3" s="3"/>
      <c r="G3" s="3"/>
      <c r="H3" s="99"/>
    </row>
    <row r="4" spans="1:8" s="2" customFormat="1" ht="28.5" thickBot="1">
      <c r="A4" s="98"/>
      <c r="B4" s="30"/>
      <c r="F4" s="84"/>
      <c r="G4" s="36" t="s">
        <v>71</v>
      </c>
      <c r="H4" s="100"/>
    </row>
    <row r="5" spans="1:8" s="2" customFormat="1" ht="28.5" thickBot="1">
      <c r="A5" s="98" t="s">
        <v>93</v>
      </c>
      <c r="B5" s="139"/>
      <c r="C5" s="140"/>
      <c r="D5" s="141"/>
      <c r="F5" s="58"/>
      <c r="G5" s="36" t="s">
        <v>76</v>
      </c>
      <c r="H5" s="100"/>
    </row>
    <row r="6" spans="1:8" ht="20.25">
      <c r="A6" s="101"/>
      <c r="H6" s="102"/>
    </row>
    <row r="7" spans="1:8" ht="21">
      <c r="A7" s="103"/>
      <c r="B7" s="31" t="s">
        <v>2</v>
      </c>
      <c r="C7" s="4" t="s">
        <v>0</v>
      </c>
      <c r="D7" s="4" t="s">
        <v>1</v>
      </c>
      <c r="E7" s="5" t="s">
        <v>44</v>
      </c>
      <c r="H7" s="102"/>
    </row>
    <row r="8" spans="1:8" ht="21">
      <c r="A8" s="103" t="s">
        <v>79</v>
      </c>
      <c r="B8" s="31"/>
      <c r="C8" s="4"/>
      <c r="D8" s="4"/>
      <c r="E8" s="5"/>
      <c r="H8" s="102"/>
    </row>
    <row r="9" spans="1:8" ht="21">
      <c r="A9" s="103"/>
      <c r="B9" s="37" t="s">
        <v>33</v>
      </c>
      <c r="C9" s="38" t="s">
        <v>34</v>
      </c>
      <c r="D9" s="85">
        <v>200</v>
      </c>
      <c r="H9" s="102"/>
    </row>
    <row r="10" spans="1:8" ht="20.25">
      <c r="A10" s="101"/>
      <c r="B10" s="37" t="s">
        <v>61</v>
      </c>
      <c r="C10" s="38" t="s">
        <v>6</v>
      </c>
      <c r="D10" s="85">
        <v>9.4</v>
      </c>
      <c r="H10" s="102"/>
    </row>
    <row r="11" spans="1:8" ht="21">
      <c r="A11" s="103"/>
      <c r="B11" s="37" t="s">
        <v>60</v>
      </c>
      <c r="C11" s="38" t="s">
        <v>35</v>
      </c>
      <c r="D11" s="69">
        <f>D10*1000/D9</f>
        <v>47</v>
      </c>
      <c r="H11" s="102"/>
    </row>
    <row r="12" spans="1:8" ht="20.25">
      <c r="A12" s="101"/>
      <c r="B12" s="37" t="s">
        <v>19</v>
      </c>
      <c r="C12" s="38" t="s">
        <v>20</v>
      </c>
      <c r="D12" s="86">
        <v>1900</v>
      </c>
      <c r="E12" s="1" t="s">
        <v>82</v>
      </c>
      <c r="H12" s="102"/>
    </row>
    <row r="13" spans="1:8" s="13" customFormat="1" ht="20.25">
      <c r="A13" s="104"/>
      <c r="B13" s="40" t="s">
        <v>58</v>
      </c>
      <c r="C13" s="41" t="s">
        <v>18</v>
      </c>
      <c r="D13" s="42">
        <f>D10*D12</f>
        <v>17860</v>
      </c>
      <c r="E13" s="14"/>
      <c r="F13" s="14"/>
      <c r="G13" s="14"/>
      <c r="H13" s="105"/>
    </row>
    <row r="14" spans="1:8" ht="20.25">
      <c r="A14" s="101"/>
      <c r="B14" s="37" t="s">
        <v>36</v>
      </c>
      <c r="C14" s="38" t="s">
        <v>62</v>
      </c>
      <c r="D14" s="42">
        <f>D13/D9</f>
        <v>89.3</v>
      </c>
      <c r="H14" s="102"/>
    </row>
    <row r="15" spans="1:8" ht="20.25">
      <c r="A15" s="101"/>
      <c r="D15" s="1"/>
      <c r="H15" s="102"/>
    </row>
    <row r="16" spans="1:8" ht="21">
      <c r="A16" s="103" t="s">
        <v>78</v>
      </c>
      <c r="D16" s="1"/>
      <c r="H16" s="102"/>
    </row>
    <row r="17" spans="1:8" ht="20.25">
      <c r="A17" s="101"/>
      <c r="B17" s="37" t="s">
        <v>59</v>
      </c>
      <c r="C17" s="38" t="s">
        <v>22</v>
      </c>
      <c r="D17" s="85">
        <v>4</v>
      </c>
      <c r="H17" s="102"/>
    </row>
    <row r="18" spans="1:8" ht="20.25">
      <c r="A18" s="101"/>
      <c r="B18" s="37" t="s">
        <v>57</v>
      </c>
      <c r="C18" s="38" t="s">
        <v>27</v>
      </c>
      <c r="D18" s="85">
        <v>0.25</v>
      </c>
      <c r="E18" s="1" t="s">
        <v>55</v>
      </c>
      <c r="H18" s="102"/>
    </row>
    <row r="19" spans="1:8" ht="20.25">
      <c r="A19" s="101"/>
      <c r="B19" s="37" t="s">
        <v>28</v>
      </c>
      <c r="C19" s="38" t="s">
        <v>6</v>
      </c>
      <c r="D19" s="39">
        <f>D17*D18</f>
        <v>1</v>
      </c>
      <c r="H19" s="102"/>
    </row>
    <row r="20" spans="1:8" ht="20.25">
      <c r="A20" s="101"/>
      <c r="B20" s="37" t="s">
        <v>52</v>
      </c>
      <c r="C20" s="38" t="s">
        <v>21</v>
      </c>
      <c r="D20" s="85">
        <v>3</v>
      </c>
      <c r="E20" s="1" t="s">
        <v>121</v>
      </c>
      <c r="H20" s="102"/>
    </row>
    <row r="21" spans="1:8" ht="20.25">
      <c r="A21" s="101"/>
      <c r="B21" s="37" t="s">
        <v>53</v>
      </c>
      <c r="C21" s="38" t="s">
        <v>21</v>
      </c>
      <c r="D21" s="85">
        <v>3</v>
      </c>
      <c r="H21" s="102"/>
    </row>
    <row r="22" spans="1:8" ht="20.25">
      <c r="A22" s="101"/>
      <c r="B22" s="37" t="s">
        <v>54</v>
      </c>
      <c r="C22" s="38" t="s">
        <v>21</v>
      </c>
      <c r="D22" s="39">
        <f>D20-D21</f>
        <v>0</v>
      </c>
      <c r="H22" s="102"/>
    </row>
    <row r="23" spans="1:8" ht="20.25">
      <c r="A23" s="101"/>
      <c r="B23" s="37" t="s">
        <v>56</v>
      </c>
      <c r="C23" s="38" t="s">
        <v>18</v>
      </c>
      <c r="D23" s="42">
        <f>D21*365*D17</f>
        <v>4380</v>
      </c>
      <c r="H23" s="102"/>
    </row>
    <row r="24" spans="1:8" ht="20.25">
      <c r="A24" s="101"/>
      <c r="H24" s="102"/>
    </row>
    <row r="25" spans="1:8" ht="21">
      <c r="A25" s="103" t="s">
        <v>81</v>
      </c>
      <c r="H25" s="102"/>
    </row>
    <row r="26" spans="1:8" ht="20.25">
      <c r="A26" s="101"/>
      <c r="B26" s="37" t="s">
        <v>26</v>
      </c>
      <c r="C26" s="38" t="s">
        <v>5</v>
      </c>
      <c r="D26" s="85">
        <v>1</v>
      </c>
      <c r="H26" s="102"/>
    </row>
    <row r="27" spans="1:8" s="11" customFormat="1" ht="20.25">
      <c r="A27" s="106"/>
      <c r="B27" s="43" t="s">
        <v>25</v>
      </c>
      <c r="C27" s="44" t="s">
        <v>6</v>
      </c>
      <c r="D27" s="45">
        <f>(D10+D19)*24/(24-D26)-(D10+D19)</f>
        <v>0.4521739130434792</v>
      </c>
      <c r="E27" s="12"/>
      <c r="F27" s="12"/>
      <c r="G27" s="12"/>
      <c r="H27" s="107"/>
    </row>
    <row r="28" spans="1:8" ht="20.25">
      <c r="A28" s="101"/>
      <c r="H28" s="102"/>
    </row>
    <row r="29" spans="1:8" ht="21">
      <c r="A29" s="103" t="s">
        <v>80</v>
      </c>
      <c r="H29" s="102"/>
    </row>
    <row r="30" spans="1:8" ht="20.25">
      <c r="A30" s="101"/>
      <c r="B30" s="37" t="s">
        <v>114</v>
      </c>
      <c r="C30" s="38" t="s">
        <v>6</v>
      </c>
      <c r="D30" s="85">
        <v>2</v>
      </c>
      <c r="H30" s="102"/>
    </row>
    <row r="31" spans="1:8" ht="20.25">
      <c r="A31" s="101"/>
      <c r="B31" s="37" t="s">
        <v>37</v>
      </c>
      <c r="C31" s="38" t="s">
        <v>18</v>
      </c>
      <c r="D31" s="86">
        <v>1000</v>
      </c>
      <c r="H31" s="102"/>
    </row>
    <row r="32" spans="1:8" ht="20.25">
      <c r="A32" s="101"/>
      <c r="D32" s="1"/>
      <c r="H32" s="102"/>
    </row>
    <row r="33" spans="1:8" ht="21">
      <c r="A33" s="103" t="s">
        <v>24</v>
      </c>
      <c r="D33" s="1"/>
      <c r="H33" s="102"/>
    </row>
    <row r="34" spans="1:8" s="16" customFormat="1" ht="21">
      <c r="A34" s="108" t="s">
        <v>29</v>
      </c>
      <c r="B34" s="43" t="s">
        <v>30</v>
      </c>
      <c r="C34" s="44" t="s">
        <v>6</v>
      </c>
      <c r="D34" s="45">
        <f>D10+D27+D19</f>
        <v>10.85217391304348</v>
      </c>
      <c r="E34" s="15"/>
      <c r="F34" s="15"/>
      <c r="G34" s="15"/>
      <c r="H34" s="109"/>
    </row>
    <row r="35" spans="1:8" s="11" customFormat="1" ht="21">
      <c r="A35" s="106"/>
      <c r="B35" s="43" t="s">
        <v>31</v>
      </c>
      <c r="C35" s="44" t="s">
        <v>6</v>
      </c>
      <c r="D35" s="87">
        <v>10.8</v>
      </c>
      <c r="E35" s="15"/>
      <c r="F35" s="12"/>
      <c r="G35" s="12"/>
      <c r="H35" s="107"/>
    </row>
    <row r="36" spans="1:8" s="11" customFormat="1" ht="21">
      <c r="A36" s="106"/>
      <c r="B36" s="43" t="s">
        <v>77</v>
      </c>
      <c r="C36" s="44" t="s">
        <v>6</v>
      </c>
      <c r="D36" s="87">
        <v>10.2</v>
      </c>
      <c r="E36" s="15"/>
      <c r="F36" s="12"/>
      <c r="G36" s="12"/>
      <c r="H36" s="107"/>
    </row>
    <row r="37" spans="1:8" s="11" customFormat="1" ht="20.25">
      <c r="A37" s="106"/>
      <c r="B37" s="43" t="s">
        <v>32</v>
      </c>
      <c r="C37" s="44" t="s">
        <v>6</v>
      </c>
      <c r="D37" s="87">
        <v>2.4</v>
      </c>
      <c r="E37" s="12"/>
      <c r="F37" s="12"/>
      <c r="G37" s="12"/>
      <c r="H37" s="107"/>
    </row>
    <row r="38" spans="1:8" s="11" customFormat="1" ht="20.25">
      <c r="A38" s="106"/>
      <c r="B38" s="43" t="s">
        <v>73</v>
      </c>
      <c r="C38" s="44" t="s">
        <v>6</v>
      </c>
      <c r="D38" s="45">
        <f>D35-D37</f>
        <v>8.4</v>
      </c>
      <c r="E38" s="12"/>
      <c r="F38" s="12"/>
      <c r="G38" s="12"/>
      <c r="H38" s="107"/>
    </row>
    <row r="39" spans="1:8" s="1" customFormat="1" ht="20.25">
      <c r="A39" s="110"/>
      <c r="B39" s="32"/>
      <c r="H39" s="102"/>
    </row>
    <row r="40" spans="1:5" ht="21">
      <c r="A40" s="103" t="s">
        <v>65</v>
      </c>
      <c r="C40" s="38" t="s">
        <v>94</v>
      </c>
      <c r="D40" s="142" t="s">
        <v>70</v>
      </c>
      <c r="E40" s="143"/>
    </row>
    <row r="41" spans="1:8" s="13" customFormat="1" ht="20.25">
      <c r="A41" s="104"/>
      <c r="B41" s="40" t="s">
        <v>23</v>
      </c>
      <c r="C41" s="41" t="s">
        <v>18</v>
      </c>
      <c r="D41" s="74">
        <f>D13+D23-D31</f>
        <v>21240</v>
      </c>
      <c r="E41" s="14" t="s">
        <v>116</v>
      </c>
      <c r="F41" s="14"/>
      <c r="G41" s="14"/>
      <c r="H41" s="105"/>
    </row>
    <row r="42" spans="1:8" s="13" customFormat="1" ht="20.25">
      <c r="A42" s="104"/>
      <c r="B42" s="40" t="s">
        <v>90</v>
      </c>
      <c r="C42" s="41" t="s">
        <v>5</v>
      </c>
      <c r="D42" s="42">
        <f>IF(D35=0,0,(D13-D31)/D35)</f>
        <v>1561.111111111111</v>
      </c>
      <c r="E42" s="14"/>
      <c r="F42" s="14"/>
      <c r="G42" s="14"/>
      <c r="H42" s="105"/>
    </row>
    <row r="43" spans="1:8" s="13" customFormat="1" ht="20.25">
      <c r="A43" s="104"/>
      <c r="B43" s="40" t="s">
        <v>91</v>
      </c>
      <c r="C43" s="41" t="s">
        <v>5</v>
      </c>
      <c r="D43" s="42">
        <f>IF(D36=0,0,D23/D36)</f>
        <v>429.4117647058824</v>
      </c>
      <c r="E43" s="14"/>
      <c r="F43" s="14"/>
      <c r="G43" s="14"/>
      <c r="H43" s="105"/>
    </row>
    <row r="44" spans="1:8" s="13" customFormat="1" ht="20.25">
      <c r="A44" s="104"/>
      <c r="B44" s="40" t="s">
        <v>92</v>
      </c>
      <c r="C44" s="41" t="s">
        <v>5</v>
      </c>
      <c r="D44" s="42">
        <f>D43+D42</f>
        <v>1990.5228758169935</v>
      </c>
      <c r="E44" s="14"/>
      <c r="F44" s="14"/>
      <c r="G44" s="14"/>
      <c r="H44" s="105"/>
    </row>
    <row r="45" spans="1:8" s="11" customFormat="1" ht="20.25">
      <c r="A45" s="106"/>
      <c r="B45" s="43" t="s">
        <v>3</v>
      </c>
      <c r="C45" s="44" t="s">
        <v>4</v>
      </c>
      <c r="D45" s="88">
        <v>2.48</v>
      </c>
      <c r="E45" s="12"/>
      <c r="F45" s="12"/>
      <c r="G45" s="12"/>
      <c r="H45" s="107"/>
    </row>
    <row r="46" spans="1:8" ht="20.25">
      <c r="A46" s="101"/>
      <c r="B46" s="37" t="s">
        <v>66</v>
      </c>
      <c r="C46" s="38"/>
      <c r="D46" s="85" t="s">
        <v>67</v>
      </c>
      <c r="H46" s="102"/>
    </row>
    <row r="47" spans="1:8" ht="20.25">
      <c r="A47" s="101"/>
      <c r="B47" s="37" t="s">
        <v>13</v>
      </c>
      <c r="C47" s="38" t="s">
        <v>7</v>
      </c>
      <c r="D47" s="89">
        <v>37.5</v>
      </c>
      <c r="E47" s="1" t="s">
        <v>87</v>
      </c>
      <c r="F47" s="6"/>
      <c r="H47" s="102"/>
    </row>
    <row r="48" spans="1:8" ht="21">
      <c r="A48" s="101"/>
      <c r="B48" s="37" t="s">
        <v>8</v>
      </c>
      <c r="C48" s="38" t="s">
        <v>10</v>
      </c>
      <c r="D48" s="85">
        <v>2</v>
      </c>
      <c r="G48" s="5"/>
      <c r="H48" s="111"/>
    </row>
    <row r="49" spans="1:8" ht="21">
      <c r="A49" s="101"/>
      <c r="B49" s="37" t="s">
        <v>9</v>
      </c>
      <c r="C49" s="38" t="s">
        <v>11</v>
      </c>
      <c r="D49" s="85">
        <v>10</v>
      </c>
      <c r="F49" s="5"/>
      <c r="G49" s="5"/>
      <c r="H49" s="111"/>
    </row>
    <row r="50" spans="1:8" s="11" customFormat="1" ht="20.25">
      <c r="A50" s="106"/>
      <c r="B50" s="43" t="s">
        <v>63</v>
      </c>
      <c r="C50" s="44" t="s">
        <v>12</v>
      </c>
      <c r="D50" s="87">
        <v>0</v>
      </c>
      <c r="E50" s="12" t="s">
        <v>74</v>
      </c>
      <c r="F50" s="12"/>
      <c r="G50" s="12"/>
      <c r="H50" s="107"/>
    </row>
    <row r="51" spans="1:8" s="11" customFormat="1" ht="40.5">
      <c r="A51" s="106"/>
      <c r="B51" s="43" t="s">
        <v>64</v>
      </c>
      <c r="C51" s="44" t="s">
        <v>12</v>
      </c>
      <c r="D51" s="87">
        <v>0.06</v>
      </c>
      <c r="E51" s="12" t="s">
        <v>75</v>
      </c>
      <c r="F51" s="12"/>
      <c r="G51" s="12"/>
      <c r="H51" s="107"/>
    </row>
    <row r="52" spans="1:8" s="17" customFormat="1" ht="20.25">
      <c r="A52" s="112"/>
      <c r="B52" s="46" t="s">
        <v>95</v>
      </c>
      <c r="C52" s="47" t="s">
        <v>14</v>
      </c>
      <c r="D52" s="42">
        <f>D38*1000*(1+D50)*(1+D51)/(D47*D48)</f>
        <v>118.72</v>
      </c>
      <c r="E52" s="18"/>
      <c r="F52" s="18"/>
      <c r="G52" s="18"/>
      <c r="H52" s="113"/>
    </row>
    <row r="53" spans="1:8" ht="20.25">
      <c r="A53" s="101"/>
      <c r="B53" s="37" t="s">
        <v>38</v>
      </c>
      <c r="C53" s="38" t="s">
        <v>39</v>
      </c>
      <c r="D53" s="85">
        <v>405</v>
      </c>
      <c r="H53" s="102"/>
    </row>
    <row r="54" spans="1:8" ht="20.25">
      <c r="A54" s="101"/>
      <c r="B54" s="37" t="s">
        <v>84</v>
      </c>
      <c r="C54" s="38" t="s">
        <v>40</v>
      </c>
      <c r="D54" s="55">
        <f>12.52-4.1*0.001*D53-0.5</f>
        <v>10.3595</v>
      </c>
      <c r="E54" s="1" t="s">
        <v>85</v>
      </c>
      <c r="H54" s="102"/>
    </row>
    <row r="55" spans="1:8" s="19" customFormat="1" ht="20.25">
      <c r="A55" s="114"/>
      <c r="B55" s="49" t="s">
        <v>41</v>
      </c>
      <c r="C55" s="50" t="s">
        <v>42</v>
      </c>
      <c r="D55" s="90">
        <f>3/100</f>
        <v>0.03</v>
      </c>
      <c r="E55" s="20"/>
      <c r="F55" s="20"/>
      <c r="G55" s="20"/>
      <c r="H55" s="115"/>
    </row>
    <row r="56" spans="1:8" ht="21" thickBot="1">
      <c r="A56" s="101"/>
      <c r="B56" s="37" t="s">
        <v>43</v>
      </c>
      <c r="C56" s="38" t="s">
        <v>40</v>
      </c>
      <c r="D56" s="85">
        <v>-1.5</v>
      </c>
      <c r="H56" s="102"/>
    </row>
    <row r="57" spans="1:8" s="11" customFormat="1" ht="20.25">
      <c r="A57" s="106"/>
      <c r="B57" s="43" t="s">
        <v>45</v>
      </c>
      <c r="C57" s="44" t="s">
        <v>46</v>
      </c>
      <c r="D57" s="48">
        <f>D54+(D52*D55)/2-D56</f>
        <v>13.6403</v>
      </c>
      <c r="E57" s="147" t="s">
        <v>88</v>
      </c>
      <c r="G57" s="12"/>
      <c r="H57" s="107"/>
    </row>
    <row r="58" spans="1:8" s="17" customFormat="1" ht="20.25">
      <c r="A58" s="112"/>
      <c r="B58" s="46" t="s">
        <v>96</v>
      </c>
      <c r="C58" s="47" t="s">
        <v>15</v>
      </c>
      <c r="D58" s="42">
        <f>D52*11.5/D57</f>
        <v>100.0916402131918</v>
      </c>
      <c r="E58" s="148"/>
      <c r="G58" s="18"/>
      <c r="H58" s="113"/>
    </row>
    <row r="59" spans="1:8" s="21" customFormat="1" ht="20.25">
      <c r="A59" s="116"/>
      <c r="B59" s="51" t="s">
        <v>45</v>
      </c>
      <c r="C59" s="52" t="s">
        <v>46</v>
      </c>
      <c r="D59" s="55">
        <f>D54+(D58*D55)/2-D56</f>
        <v>13.360874603197878</v>
      </c>
      <c r="E59" s="148"/>
      <c r="G59" s="22"/>
      <c r="H59" s="117"/>
    </row>
    <row r="60" spans="1:8" s="23" customFormat="1" ht="20.25">
      <c r="A60" s="118"/>
      <c r="B60" s="53" t="s">
        <v>96</v>
      </c>
      <c r="C60" s="54" t="s">
        <v>16</v>
      </c>
      <c r="D60" s="69">
        <f>D52*11.5/D59</f>
        <v>102.18492730058442</v>
      </c>
      <c r="E60" s="148"/>
      <c r="G60" s="24"/>
      <c r="H60" s="119"/>
    </row>
    <row r="61" spans="1:8" s="21" customFormat="1" ht="21" thickBot="1">
      <c r="A61" s="116"/>
      <c r="B61" s="56" t="s">
        <v>45</v>
      </c>
      <c r="C61" s="57" t="s">
        <v>46</v>
      </c>
      <c r="D61" s="70">
        <f>D54+(D60*D55)/2-D56</f>
        <v>13.392273909508766</v>
      </c>
      <c r="E61" s="148"/>
      <c r="G61" s="22"/>
      <c r="H61" s="117"/>
    </row>
    <row r="62" spans="1:8" s="35" customFormat="1" ht="21" thickBot="1">
      <c r="A62" s="120"/>
      <c r="B62" s="62" t="s">
        <v>97</v>
      </c>
      <c r="C62" s="63" t="s">
        <v>17</v>
      </c>
      <c r="D62" s="71">
        <f>D52*11.5/D61</f>
        <v>101.94534619177894</v>
      </c>
      <c r="E62" s="149"/>
      <c r="G62" s="25"/>
      <c r="H62" s="121"/>
    </row>
    <row r="63" spans="1:8" s="21" customFormat="1" ht="21">
      <c r="A63" s="116"/>
      <c r="B63" s="64" t="s">
        <v>98</v>
      </c>
      <c r="C63" s="52" t="s">
        <v>7</v>
      </c>
      <c r="D63" s="73">
        <f>D38*1000/(D62*D48)</f>
        <v>41.19854566091704</v>
      </c>
      <c r="E63" s="27"/>
      <c r="F63" s="27"/>
      <c r="G63" s="27"/>
      <c r="H63" s="122"/>
    </row>
    <row r="64" spans="1:8" s="21" customFormat="1" ht="21" thickBot="1">
      <c r="A64" s="116"/>
      <c r="B64" s="65" t="s">
        <v>83</v>
      </c>
      <c r="C64" s="66" t="s">
        <v>69</v>
      </c>
      <c r="D64" s="72">
        <f>((D41-(D44*D37))/(D48*D62))</f>
        <v>80.74299471733416</v>
      </c>
      <c r="E64" s="22" t="s">
        <v>72</v>
      </c>
      <c r="F64" s="22"/>
      <c r="G64" s="22"/>
      <c r="H64" s="117"/>
    </row>
    <row r="65" spans="1:8" s="21" customFormat="1" ht="20.25">
      <c r="A65" s="116"/>
      <c r="B65" s="75"/>
      <c r="E65" s="22"/>
      <c r="F65" s="22"/>
      <c r="G65" s="22"/>
      <c r="H65" s="117"/>
    </row>
    <row r="66" spans="1:8" s="26" customFormat="1" ht="21" customHeight="1">
      <c r="A66" s="123"/>
      <c r="B66" s="33"/>
      <c r="D66" s="152" t="s">
        <v>110</v>
      </c>
      <c r="E66" s="150" t="s">
        <v>109</v>
      </c>
      <c r="F66" s="150" t="s">
        <v>120</v>
      </c>
      <c r="G66" s="150" t="s">
        <v>104</v>
      </c>
      <c r="H66" s="124"/>
    </row>
    <row r="67" spans="1:8" ht="21">
      <c r="A67" s="101"/>
      <c r="B67" s="31" t="s">
        <v>99</v>
      </c>
      <c r="C67" s="4"/>
      <c r="D67" s="151"/>
      <c r="E67" s="151"/>
      <c r="F67" s="151"/>
      <c r="G67" s="151"/>
      <c r="H67" s="125"/>
    </row>
    <row r="68" spans="1:8" ht="20.25">
      <c r="A68" s="101"/>
      <c r="B68" s="60" t="s">
        <v>115</v>
      </c>
      <c r="C68" s="76" t="s">
        <v>51</v>
      </c>
      <c r="D68" s="80">
        <v>4.04</v>
      </c>
      <c r="E68" s="131">
        <v>3.86</v>
      </c>
      <c r="F68" s="80">
        <v>3.88</v>
      </c>
      <c r="G68" s="80">
        <v>4.15</v>
      </c>
      <c r="H68" s="125"/>
    </row>
    <row r="69" spans="1:8" s="34" customFormat="1" ht="20.25">
      <c r="A69" s="126"/>
      <c r="B69" s="61"/>
      <c r="C69" s="77" t="s">
        <v>68</v>
      </c>
      <c r="D69" s="130">
        <f>D68*0.278/1000</f>
        <v>0.00112312</v>
      </c>
      <c r="E69" s="130">
        <f>E68*0.278/1000</f>
        <v>0.0010730800000000001</v>
      </c>
      <c r="F69" s="130">
        <f>F68*0.278/1000</f>
        <v>0.00107864</v>
      </c>
      <c r="G69" s="130">
        <f>G68*0.278/1000</f>
        <v>0.0011537000000000001</v>
      </c>
      <c r="H69" s="127"/>
    </row>
    <row r="70" spans="1:8" ht="20.25">
      <c r="A70" s="101"/>
      <c r="B70" s="37" t="s">
        <v>49</v>
      </c>
      <c r="C70" s="76" t="s">
        <v>50</v>
      </c>
      <c r="D70" s="81">
        <v>1035</v>
      </c>
      <c r="E70" s="81">
        <v>969</v>
      </c>
      <c r="F70" s="81">
        <v>1030</v>
      </c>
      <c r="G70" s="81">
        <v>1000</v>
      </c>
      <c r="H70" s="125"/>
    </row>
    <row r="71" spans="1:8" s="28" customFormat="1" ht="20.25">
      <c r="A71" s="128"/>
      <c r="B71" s="59" t="s">
        <v>47</v>
      </c>
      <c r="C71" s="78" t="s">
        <v>48</v>
      </c>
      <c r="D71" s="42">
        <f>1000*D38/(3*D69*D70)</f>
        <v>2408.7488511128245</v>
      </c>
      <c r="E71" s="42">
        <f>1000*D38/(3*E69*E70)</f>
        <v>2692.7879406800353</v>
      </c>
      <c r="F71" s="42">
        <f>1000*D38/(3*F69*F70)</f>
        <v>2520.2538399667615</v>
      </c>
      <c r="G71" s="42">
        <f>1000*D38/(3*G69*G70)</f>
        <v>2426.974083383895</v>
      </c>
      <c r="H71" s="129"/>
    </row>
    <row r="72" spans="1:8" s="28" customFormat="1" ht="20.25">
      <c r="A72" s="128"/>
      <c r="B72" s="51" t="s">
        <v>100</v>
      </c>
      <c r="C72" s="76" t="s">
        <v>48</v>
      </c>
      <c r="D72" s="42">
        <f>D71/D48</f>
        <v>1204.3744255564122</v>
      </c>
      <c r="E72" s="42">
        <f>E71/D48</f>
        <v>1346.3939703400176</v>
      </c>
      <c r="F72" s="42">
        <f>F71/D48</f>
        <v>1260.1269199833807</v>
      </c>
      <c r="G72" s="42">
        <f>G71/D48</f>
        <v>1213.4870416919475</v>
      </c>
      <c r="H72" s="129"/>
    </row>
    <row r="73" spans="1:8" s="28" customFormat="1" ht="20.25">
      <c r="A73" s="128"/>
      <c r="B73" s="51" t="s">
        <v>111</v>
      </c>
      <c r="C73" s="76" t="s">
        <v>101</v>
      </c>
      <c r="D73" s="83">
        <v>3.49</v>
      </c>
      <c r="E73" s="83">
        <v>4.29</v>
      </c>
      <c r="F73" s="83">
        <v>5.97</v>
      </c>
      <c r="G73" s="83"/>
      <c r="H73" s="129"/>
    </row>
    <row r="74" spans="1:8" s="28" customFormat="1" ht="20.25">
      <c r="A74" s="128"/>
      <c r="B74" s="51" t="s">
        <v>112</v>
      </c>
      <c r="C74" s="76" t="s">
        <v>101</v>
      </c>
      <c r="D74" s="83">
        <v>2.8</v>
      </c>
      <c r="E74" s="83">
        <v>3.6</v>
      </c>
      <c r="F74" s="83">
        <v>4.5</v>
      </c>
      <c r="G74" s="83">
        <v>1.5</v>
      </c>
      <c r="H74" s="129"/>
    </row>
    <row r="75" spans="1:8" s="28" customFormat="1" ht="20.25">
      <c r="A75" s="128"/>
      <c r="B75" s="51" t="s">
        <v>102</v>
      </c>
      <c r="C75" s="76" t="s">
        <v>103</v>
      </c>
      <c r="D75" s="86">
        <v>23</v>
      </c>
      <c r="E75" s="132">
        <f>$D$75</f>
        <v>23</v>
      </c>
      <c r="F75" s="132">
        <f>$D$75</f>
        <v>23</v>
      </c>
      <c r="G75" s="132">
        <f>$D$75</f>
        <v>23</v>
      </c>
      <c r="H75" s="129"/>
    </row>
    <row r="76" spans="1:8" s="28" customFormat="1" ht="20.25">
      <c r="A76" s="128"/>
      <c r="B76" s="51" t="s">
        <v>105</v>
      </c>
      <c r="C76" s="76" t="s">
        <v>106</v>
      </c>
      <c r="D76" s="45">
        <f>(D72/3600000)/(2*D75*D75*3.14/(4*1000000))</f>
        <v>0.4028132054753565</v>
      </c>
      <c r="E76" s="45">
        <f>(E72/3600000)/(2*E75*E75*3.14/(4*1000000))</f>
        <v>0.45031284251556153</v>
      </c>
      <c r="F76" s="45">
        <f>(F72/3600000)/(2*F75*F75*3.14/(4*1000000))</f>
        <v>0.42146009843225296</v>
      </c>
      <c r="G76" s="45">
        <f>(G72/3600000)/(2*G75*G75*3.14/(4*1000000))</f>
        <v>0.4058609969577483</v>
      </c>
      <c r="H76" s="129"/>
    </row>
    <row r="77" spans="1:8" s="28" customFormat="1" ht="21" thickBot="1">
      <c r="A77" s="128"/>
      <c r="B77" s="51" t="s">
        <v>108</v>
      </c>
      <c r="C77" s="76" t="s">
        <v>107</v>
      </c>
      <c r="D77" s="67">
        <f>D76*D75/(1000*D73/1000000)</f>
        <v>2654.6429014135238</v>
      </c>
      <c r="E77" s="67">
        <f>E76*E75/(1000*E73/1000000)</f>
        <v>2414.2646568433365</v>
      </c>
      <c r="F77" s="67">
        <f>F76*F75/(1000*F73/1000000)</f>
        <v>1623.7156221008072</v>
      </c>
      <c r="G77" s="67">
        <f>G76*G75/(1000*G74/1000000)</f>
        <v>6223.201953352141</v>
      </c>
      <c r="H77" s="129"/>
    </row>
    <row r="78" spans="1:8" ht="21" thickBot="1">
      <c r="A78" s="101"/>
      <c r="B78" s="68" t="s">
        <v>113</v>
      </c>
      <c r="C78" s="79"/>
      <c r="D78" s="82" t="str">
        <f>IF(D77&gt;2320,"Turbulent","Laminar")</f>
        <v>Turbulent</v>
      </c>
      <c r="E78" s="82" t="str">
        <f>IF(E77&gt;2320,"Turbulent","Laminar")</f>
        <v>Turbulent</v>
      </c>
      <c r="F78" s="82" t="str">
        <f>IF(F77&gt;2320,"Turbulent","Laminar")</f>
        <v>Laminar</v>
      </c>
      <c r="G78" s="82" t="str">
        <f>IF(G77&gt;2320,"Turbulent","Laminar")</f>
        <v>Turbulent</v>
      </c>
      <c r="H78" s="125"/>
    </row>
    <row r="79" spans="1:8" ht="20.25">
      <c r="A79" s="101"/>
      <c r="E79" s="6"/>
      <c r="F79" s="6"/>
      <c r="G79" s="6"/>
      <c r="H79" s="125"/>
    </row>
    <row r="80" spans="1:8" ht="20.25">
      <c r="A80" s="101"/>
      <c r="B80" s="144" t="s">
        <v>118</v>
      </c>
      <c r="C80" s="145"/>
      <c r="D80" s="145"/>
      <c r="E80" s="145"/>
      <c r="F80" s="145"/>
      <c r="G80" s="145"/>
      <c r="H80" s="146"/>
    </row>
    <row r="81" spans="1:8" ht="20.25">
      <c r="A81" s="101"/>
      <c r="B81" s="145"/>
      <c r="C81" s="145"/>
      <c r="D81" s="145"/>
      <c r="E81" s="145"/>
      <c r="F81" s="145"/>
      <c r="G81" s="145"/>
      <c r="H81" s="146"/>
    </row>
    <row r="82" spans="1:8" ht="20.25">
      <c r="A82" s="101"/>
      <c r="B82" s="145"/>
      <c r="C82" s="145"/>
      <c r="D82" s="145"/>
      <c r="E82" s="145"/>
      <c r="F82" s="145"/>
      <c r="G82" s="145"/>
      <c r="H82" s="146"/>
    </row>
    <row r="83" spans="1:8" ht="20.25">
      <c r="A83" s="101"/>
      <c r="B83" s="22" t="s">
        <v>117</v>
      </c>
      <c r="H83" s="102"/>
    </row>
    <row r="84" spans="1:8" ht="40.5" customHeight="1">
      <c r="A84" s="101"/>
      <c r="B84" s="133" t="s">
        <v>119</v>
      </c>
      <c r="C84" s="134"/>
      <c r="D84" s="134"/>
      <c r="E84" s="134"/>
      <c r="F84" s="134"/>
      <c r="G84" s="134"/>
      <c r="H84" s="135"/>
    </row>
    <row r="85" spans="1:8" ht="46.5" customHeight="1">
      <c r="A85" s="136" t="s">
        <v>122</v>
      </c>
      <c r="B85" s="137"/>
      <c r="C85" s="137"/>
      <c r="D85" s="137"/>
      <c r="E85" s="137"/>
      <c r="F85" s="137"/>
      <c r="G85" s="137"/>
      <c r="H85" s="138"/>
    </row>
    <row r="86" ht="20.25">
      <c r="A86" s="6"/>
    </row>
    <row r="87" ht="20.25">
      <c r="A87" s="6"/>
    </row>
    <row r="88" ht="20.25">
      <c r="A88" s="6"/>
    </row>
    <row r="89" spans="2:8" s="26" customFormat="1" ht="21">
      <c r="B89" s="33" t="s">
        <v>29</v>
      </c>
      <c r="E89" s="27"/>
      <c r="F89" s="27"/>
      <c r="G89" s="27"/>
      <c r="H89" s="27"/>
    </row>
    <row r="90" spans="2:8" s="26" customFormat="1" ht="21">
      <c r="B90" s="33"/>
      <c r="E90" s="27"/>
      <c r="F90" s="27"/>
      <c r="G90" s="27"/>
      <c r="H90" s="27"/>
    </row>
    <row r="91" spans="2:8" s="26" customFormat="1" ht="21">
      <c r="B91" s="33"/>
      <c r="E91" s="27"/>
      <c r="F91" s="27"/>
      <c r="G91" s="27"/>
      <c r="H91" s="27"/>
    </row>
    <row r="92" spans="2:8" s="26" customFormat="1" ht="21">
      <c r="B92" s="33"/>
      <c r="E92" s="27"/>
      <c r="F92" s="27"/>
      <c r="G92" s="27"/>
      <c r="H92" s="27"/>
    </row>
    <row r="93" ht="20.25">
      <c r="A93" s="6"/>
    </row>
  </sheetData>
  <sheetProtection sheet="1" objects="1" scenarios="1" selectLockedCells="1"/>
  <mergeCells count="10">
    <mergeCell ref="B84:H84"/>
    <mergeCell ref="A85:H85"/>
    <mergeCell ref="B5:D5"/>
    <mergeCell ref="D40:E40"/>
    <mergeCell ref="B80:H82"/>
    <mergeCell ref="E57:E62"/>
    <mergeCell ref="G66:G67"/>
    <mergeCell ref="F66:F67"/>
    <mergeCell ref="E66:E67"/>
    <mergeCell ref="D66:D67"/>
  </mergeCells>
  <printOptions/>
  <pageMargins left="0.7874015748031497" right="0.7874015748031497" top="0.984251968503937" bottom="0.984251968503937" header="0.5118110236220472" footer="0.5118110236220472"/>
  <pageSetup fitToHeight="1" fitToWidth="1" horizontalDpi="600" verticalDpi="600" orientation="portrait" paperSize="9" scale="40" r:id="rId1"/>
  <rowBreaks count="1" manualBreakCount="1">
    <brk id="93" max="13" man="1"/>
  </rowBreaks>
  <ignoredErrors>
    <ignoredError sqref="D55 E75:G7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 Oberösterreich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Land OÖ</dc:creator>
  <cp:keywords/>
  <dc:description/>
  <cp:lastModifiedBy>Andreas Gaul</cp:lastModifiedBy>
  <cp:lastPrinted>2010-03-12T10:54:30Z</cp:lastPrinted>
  <dcterms:created xsi:type="dcterms:W3CDTF">2008-10-01T09:00:16Z</dcterms:created>
  <dcterms:modified xsi:type="dcterms:W3CDTF">2010-10-06T09:02:23Z</dcterms:modified>
  <cp:category/>
  <cp:version/>
  <cp:contentType/>
  <cp:contentStatus/>
</cp:coreProperties>
</file>